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d drives\Finance Dept\FinanceData\Transparency\Stars Program - Public Pensions\"/>
    </mc:Choice>
  </mc:AlternateContent>
  <bookViews>
    <workbookView xWindow="0" yWindow="0" windowWidth="29010" windowHeight="12300" firstSheet="4" activeTab="6"/>
  </bookViews>
  <sheets>
    <sheet name="Benefit" sheetId="1" r:id="rId1"/>
    <sheet name="Members" sheetId="6" r:id="rId2"/>
    <sheet name="Valuation" sheetId="4" r:id="rId3"/>
    <sheet name="AVA vs AAL" sheetId="8" r:id="rId4"/>
    <sheet name="Contribution Rate" sheetId="10" r:id="rId5"/>
    <sheet name="Funding" sheetId="11" r:id="rId6"/>
    <sheet name="Amortization" sheetId="9" r:id="rId7"/>
    <sheet name="Cash Flows" sheetId="7" r:id="rId8"/>
  </sheets>
  <externalReferences>
    <externalReference r:id="rId9"/>
  </externalReferences>
  <definedNames>
    <definedName name="_xlnm.Print_Area" localSheetId="0">Benefit!$C$3:$D$9</definedName>
    <definedName name="_xlnm.Print_Area" localSheetId="5">Funding!$B$17:$N$39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C10" i="7"/>
  <c r="C13" i="7"/>
  <c r="C12" i="7"/>
  <c r="C11" i="7"/>
  <c r="C9" i="7"/>
  <c r="C8" i="7"/>
  <c r="C7" i="7"/>
  <c r="C5" i="7"/>
  <c r="C4" i="7"/>
  <c r="C3" i="7"/>
  <c r="G13" i="11"/>
  <c r="J13" i="11" s="1"/>
  <c r="F13" i="11"/>
  <c r="G12" i="11"/>
  <c r="J12" i="11" s="1"/>
  <c r="F12" i="11"/>
  <c r="G11" i="11"/>
  <c r="J11" i="11" s="1"/>
  <c r="F11" i="11"/>
  <c r="H11" i="11" s="1"/>
  <c r="I11" i="11" s="1"/>
  <c r="G10" i="11"/>
  <c r="J10" i="11" s="1"/>
  <c r="F10" i="11"/>
  <c r="G9" i="11"/>
  <c r="J9" i="11" s="1"/>
  <c r="F9" i="11"/>
  <c r="G8" i="11"/>
  <c r="F8" i="11"/>
  <c r="H8" i="11" s="1"/>
  <c r="I8" i="11" s="1"/>
  <c r="G7" i="11"/>
  <c r="J7" i="11" s="1"/>
  <c r="F7" i="11"/>
  <c r="H7" i="11" s="1"/>
  <c r="I7" i="11" s="1"/>
  <c r="G6" i="11"/>
  <c r="J6" i="11" s="1"/>
  <c r="F6" i="11"/>
  <c r="G5" i="11"/>
  <c r="J5" i="11" s="1"/>
  <c r="F5" i="11"/>
  <c r="H5" i="11" s="1"/>
  <c r="I5" i="11" s="1"/>
  <c r="G4" i="11"/>
  <c r="F4" i="11"/>
  <c r="G3" i="11"/>
  <c r="J3" i="11" s="1"/>
  <c r="F3" i="11"/>
  <c r="I8" i="10"/>
  <c r="H8" i="10"/>
  <c r="G8" i="10"/>
  <c r="F8" i="10"/>
  <c r="E8" i="10"/>
  <c r="G14" i="4"/>
  <c r="F14" i="4"/>
  <c r="E14" i="4"/>
  <c r="D14" i="4"/>
  <c r="C14" i="4"/>
  <c r="G13" i="4"/>
  <c r="G15" i="4" s="1"/>
  <c r="F13" i="4"/>
  <c r="F15" i="4" s="1"/>
  <c r="E13" i="4"/>
  <c r="E15" i="4" s="1"/>
  <c r="D13" i="4"/>
  <c r="D15" i="4" s="1"/>
  <c r="C13" i="4"/>
  <c r="C15" i="4" s="1"/>
  <c r="E10" i="4"/>
  <c r="F8" i="4"/>
  <c r="G7" i="4"/>
  <c r="E7" i="4"/>
  <c r="D7" i="4"/>
  <c r="C7" i="4"/>
  <c r="G6" i="4"/>
  <c r="G8" i="4" s="1"/>
  <c r="E6" i="4"/>
  <c r="E8" i="4" s="1"/>
  <c r="D6" i="4"/>
  <c r="D8" i="4" s="1"/>
  <c r="C6" i="4"/>
  <c r="C8" i="4" s="1"/>
  <c r="N8" i="6"/>
  <c r="M8" i="6"/>
  <c r="L8" i="6"/>
  <c r="K8" i="6"/>
  <c r="J8" i="6"/>
  <c r="I8" i="6"/>
  <c r="H8" i="6"/>
  <c r="G8" i="6"/>
  <c r="F8" i="6"/>
  <c r="E8" i="6"/>
  <c r="D8" i="6"/>
  <c r="H12" i="11" l="1"/>
  <c r="I12" i="11" s="1"/>
  <c r="H3" i="11"/>
  <c r="I3" i="11" s="1"/>
  <c r="H10" i="11"/>
  <c r="I10" i="11" s="1"/>
  <c r="H13" i="11"/>
  <c r="I13" i="11" s="1"/>
  <c r="J8" i="11"/>
  <c r="J4" i="11"/>
  <c r="H6" i="11"/>
  <c r="I6" i="11" s="1"/>
  <c r="H9" i="11"/>
  <c r="I9" i="11" s="1"/>
  <c r="H4" i="11"/>
  <c r="I4" i="11" s="1"/>
  <c r="C34" i="4" l="1"/>
  <c r="C33" i="4"/>
  <c r="C32" i="4"/>
  <c r="C31" i="4"/>
  <c r="C30" i="4"/>
  <c r="C29" i="4"/>
  <c r="C35" i="4"/>
</calcChain>
</file>

<file path=xl/sharedStrings.xml><?xml version="1.0" encoding="utf-8"?>
<sst xmlns="http://schemas.openxmlformats.org/spreadsheetml/2006/main" count="79" uniqueCount="72">
  <si>
    <t>Employee Contributions</t>
  </si>
  <si>
    <t>Employer Match at Retirement</t>
  </si>
  <si>
    <t>Cost of Living Adjustments</t>
  </si>
  <si>
    <t>Vesting of Benefits</t>
  </si>
  <si>
    <t>Service Retirement Eligibility</t>
  </si>
  <si>
    <t>Death Benefits</t>
  </si>
  <si>
    <t>70% of CPI (70% is maximum)</t>
  </si>
  <si>
    <t>5 years</t>
  </si>
  <si>
    <t>7% of pay</t>
  </si>
  <si>
    <t>100% (100% is maximum)</t>
  </si>
  <si>
    <t>5 years, age 60; 20yrs, any age</t>
  </si>
  <si>
    <t>Supplemental Death Benefit to both Retirees and Active Employees</t>
  </si>
  <si>
    <t>Actuarial Value of Assets (funded)</t>
  </si>
  <si>
    <t>Funded Ratio</t>
  </si>
  <si>
    <t>UAAL as a % of covered payroll</t>
  </si>
  <si>
    <t>Total Pension Liability</t>
  </si>
  <si>
    <t>Plan Fiduciary Net Position</t>
  </si>
  <si>
    <t>Net Pension Liability (NPL)</t>
  </si>
  <si>
    <t>NPL as a % of covered payroll</t>
  </si>
  <si>
    <t>Actuarial accrued liability (AAL)</t>
  </si>
  <si>
    <t>Actuarial value of assets (AVA)</t>
  </si>
  <si>
    <t>Unfunded actuarial accrued liability (UAAL) </t>
  </si>
  <si>
    <t>Funded Ratio (AVA/AAL) </t>
  </si>
  <si>
    <t>Equivalent Single Amortization Period   </t>
  </si>
  <si>
    <t>Assumed rate of return</t>
  </si>
  <si>
    <t>UAAL as a percent of covered payroll</t>
  </si>
  <si>
    <t>Active Members</t>
  </si>
  <si>
    <t>Retirees and beneficiaries</t>
  </si>
  <si>
    <t>Inactive Members</t>
  </si>
  <si>
    <t>Total</t>
  </si>
  <si>
    <t>Covered Payroll</t>
  </si>
  <si>
    <t>Equivalent Single Amortization Period</t>
  </si>
  <si>
    <t>Funding Valuation (Smoothed Value)</t>
  </si>
  <si>
    <t>GASB 68 Valuation (Market Value)</t>
  </si>
  <si>
    <t>Year</t>
  </si>
  <si>
    <t xml:space="preserve">Total Actuarial Accrued Liability             </t>
  </si>
  <si>
    <t>Unfunded Actuarial Accrued Liability (unfunded)</t>
  </si>
  <si>
    <t>Unfunded Ratio (UAAL)</t>
  </si>
  <si>
    <t>Funded Ratio (AVA)</t>
  </si>
  <si>
    <t>*New losses are laddered on a 20-year period.</t>
  </si>
  <si>
    <t>23.2 years *</t>
  </si>
  <si>
    <t>2  to 1</t>
  </si>
  <si>
    <t>Updated Service Credit</t>
  </si>
  <si>
    <t>4d</t>
  </si>
  <si>
    <t>Total Retirement Rate (ADEC)</t>
  </si>
  <si>
    <t>Total Actuarial Accrued Liability (AAL)</t>
  </si>
  <si>
    <t>Actuarial Value of Assets (AVA)</t>
  </si>
  <si>
    <t>Unfunded Actuarial Accrued Liability (UAAL)</t>
  </si>
  <si>
    <t>Infows</t>
  </si>
  <si>
    <t>Outflows</t>
  </si>
  <si>
    <t>YEARS</t>
  </si>
  <si>
    <t>Actuarial Accrued Liability (AAL)</t>
  </si>
  <si>
    <t>Total Contribution Rate</t>
  </si>
  <si>
    <t>Employer Contribution Rate (ADEC)</t>
  </si>
  <si>
    <t>Employee Rate</t>
  </si>
  <si>
    <t>Long-Term Expected Rate of Return for the last 6-years.</t>
  </si>
  <si>
    <t>YEAR</t>
  </si>
  <si>
    <t>Actuarially Determined Contributions</t>
  </si>
  <si>
    <t>Cash Outflows are both Benefit and refund payments processed during the year.</t>
  </si>
  <si>
    <t>Cash Inflows presented are the combined Employer and Member Contributions during the year.</t>
  </si>
  <si>
    <t xml:space="preserve">Source: </t>
  </si>
  <si>
    <t>Rate Letter 2025 pg. 4</t>
  </si>
  <si>
    <t>SPI BENEFITS PROVIDED</t>
  </si>
  <si>
    <t>Employees Covered by Benefit Terms</t>
  </si>
  <si>
    <t>GASB68 or Rate letter 2025 pg. 3</t>
  </si>
  <si>
    <t>19.4 years *</t>
  </si>
  <si>
    <t>20.4 years *</t>
  </si>
  <si>
    <t>21.6 years *</t>
  </si>
  <si>
    <t>24.1 years *</t>
  </si>
  <si>
    <t>**************************************</t>
  </si>
  <si>
    <t>Source:</t>
  </si>
  <si>
    <t>Rate Letters - page titled - Historical and Projected Accumulation of the BAF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</si>
</sst>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[$-409]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0" fillId="0" borderId="1" xfId="0" applyBorder="1"/>
    <xf numFmtId="165" fontId="0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2" applyNumberFormat="1" applyFont="1" applyBorder="1" applyAlignment="1">
      <alignment horizontal="center"/>
    </xf>
    <xf numFmtId="165" fontId="0" fillId="3" borderId="1" xfId="0" applyNumberFormat="1" applyFill="1" applyBorder="1"/>
    <xf numFmtId="164" fontId="0" fillId="3" borderId="1" xfId="2" applyNumberFormat="1" applyFont="1" applyFill="1" applyBorder="1"/>
    <xf numFmtId="164" fontId="0" fillId="3" borderId="7" xfId="2" applyNumberFormat="1" applyFont="1" applyFill="1" applyBorder="1"/>
    <xf numFmtId="0" fontId="4" fillId="2" borderId="3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167" fontId="0" fillId="3" borderId="1" xfId="3" applyNumberFormat="1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1" xfId="1" applyNumberFormat="1" applyFont="1" applyBorder="1"/>
    <xf numFmtId="0" fontId="5" fillId="0" borderId="0" xfId="0" applyFont="1"/>
    <xf numFmtId="14" fontId="4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165" fontId="5" fillId="0" borderId="1" xfId="0" applyNumberFormat="1" applyFont="1" applyBorder="1"/>
    <xf numFmtId="165" fontId="5" fillId="0" borderId="0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165" fontId="0" fillId="0" borderId="0" xfId="1" applyNumberFormat="1" applyFont="1"/>
    <xf numFmtId="166" fontId="4" fillId="2" borderId="4" xfId="3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5" fillId="0" borderId="0" xfId="2" applyNumberFormat="1" applyFont="1" applyBorder="1"/>
    <xf numFmtId="165" fontId="5" fillId="0" borderId="2" xfId="0" applyNumberFormat="1" applyFont="1" applyBorder="1"/>
    <xf numFmtId="10" fontId="5" fillId="0" borderId="2" xfId="2" applyNumberFormat="1" applyFont="1" applyBorder="1"/>
    <xf numFmtId="168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7" fontId="5" fillId="0" borderId="1" xfId="1" applyNumberFormat="1" applyFont="1" applyBorder="1"/>
    <xf numFmtId="0" fontId="2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10" fontId="0" fillId="0" borderId="0" xfId="2" applyNumberFormat="1" applyFont="1" applyBorder="1"/>
    <xf numFmtId="10" fontId="0" fillId="0" borderId="14" xfId="2" applyNumberFormat="1" applyFont="1" applyBorder="1"/>
    <xf numFmtId="0" fontId="0" fillId="0" borderId="1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right" vertical="center" indent="4"/>
    </xf>
    <xf numFmtId="0" fontId="5" fillId="0" borderId="0" xfId="0" applyFont="1" applyBorder="1"/>
    <xf numFmtId="0" fontId="8" fillId="0" borderId="0" xfId="0" applyFont="1"/>
    <xf numFmtId="17" fontId="0" fillId="0" borderId="0" xfId="0" applyNumberFormat="1"/>
    <xf numFmtId="0" fontId="6" fillId="0" borderId="1" xfId="0" applyFont="1" applyBorder="1" applyAlignment="1">
      <alignment horizontal="right"/>
    </xf>
    <xf numFmtId="0" fontId="6" fillId="0" borderId="18" xfId="0" applyFont="1" applyBorder="1"/>
    <xf numFmtId="0" fontId="7" fillId="0" borderId="1" xfId="0" applyFont="1" applyBorder="1" applyAlignment="1">
      <alignment horizontal="right"/>
    </xf>
    <xf numFmtId="0" fontId="7" fillId="0" borderId="18" xfId="0" applyFont="1" applyBorder="1"/>
    <xf numFmtId="0" fontId="2" fillId="0" borderId="1" xfId="0" applyFont="1" applyBorder="1"/>
    <xf numFmtId="0" fontId="9" fillId="2" borderId="1" xfId="0" applyFont="1" applyFill="1" applyBorder="1" applyAlignment="1">
      <alignment horizontal="center"/>
    </xf>
    <xf numFmtId="10" fontId="5" fillId="0" borderId="1" xfId="2" applyNumberFormat="1" applyFont="1" applyBorder="1"/>
    <xf numFmtId="10" fontId="0" fillId="0" borderId="1" xfId="2" applyNumberFormat="1" applyFont="1" applyBorder="1"/>
    <xf numFmtId="10" fontId="0" fillId="0" borderId="1" xfId="0" applyNumberFormat="1" applyBorder="1"/>
    <xf numFmtId="10" fontId="0" fillId="0" borderId="0" xfId="0" applyNumberFormat="1" applyFont="1" applyBorder="1"/>
    <xf numFmtId="10" fontId="2" fillId="0" borderId="16" xfId="0" applyNumberFormat="1" applyFont="1" applyBorder="1"/>
    <xf numFmtId="10" fontId="2" fillId="0" borderId="17" xfId="0" applyNumberFormat="1" applyFont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6" xfId="0" applyFont="1" applyFill="1" applyBorder="1"/>
    <xf numFmtId="0" fontId="2" fillId="0" borderId="0" xfId="0" applyFont="1"/>
    <xf numFmtId="0" fontId="8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10" fontId="5" fillId="0" borderId="9" xfId="0" applyNumberFormat="1" applyFont="1" applyBorder="1" applyAlignment="1">
      <alignment horizontal="center" vertical="center"/>
    </xf>
    <xf numFmtId="10" fontId="5" fillId="0" borderId="8" xfId="0" applyNumberFormat="1" applyFont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 i="0" baseline="0">
                <a:effectLst/>
              </a:rPr>
              <a:t>City of South Padre Island </a:t>
            </a:r>
            <a:endParaRPr lang="en-US" sz="1200">
              <a:effectLst/>
            </a:endParaRPr>
          </a:p>
          <a:p>
            <a:pPr>
              <a:defRPr/>
            </a:pPr>
            <a:r>
              <a:rPr lang="en-US" sz="1000" b="0" i="0" baseline="0">
                <a:effectLst/>
              </a:rPr>
              <a:t>Assets and Liabilities</a:t>
            </a:r>
            <a:endParaRPr lang="en-US" sz="8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'AVA vs AAL'!$E$3</c:f>
              <c:strCache>
                <c:ptCount val="1"/>
                <c:pt idx="0">
                  <c:v>Actuarial Value of Assets (AVA)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numRef>
              <c:f>'AVA vs AAL'!$D$4:$D$8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'AVA vs AAL'!$E$4:$E$8</c:f>
              <c:numCache>
                <c:formatCode>"$"#,##0</c:formatCode>
                <c:ptCount val="5"/>
                <c:pt idx="0">
                  <c:v>36860690</c:v>
                </c:pt>
                <c:pt idx="1">
                  <c:v>39616401</c:v>
                </c:pt>
                <c:pt idx="2">
                  <c:v>42727425</c:v>
                </c:pt>
                <c:pt idx="3">
                  <c:v>45242955</c:v>
                </c:pt>
                <c:pt idx="4">
                  <c:v>48399378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7-495E-BCEB-746F6995016B}"/>
            </c:ext>
          </c:extLst>
        </c:ser>
        <c:ser>
          <c:idx val="1"/>
          <c:order val="1"/>
          <c:tx>
            <c:strRef>
              <c:f>'AVA vs AAL'!$F$3</c:f>
              <c:strCache>
                <c:ptCount val="1"/>
                <c:pt idx="0">
                  <c:v>Actuarial Accrued Liability (AAL)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numRef>
              <c:f>'AVA vs AAL'!$D$4:$D$8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'AVA vs AAL'!$F$4:$F$8</c:f>
              <c:numCache>
                <c:formatCode>"$"#,##0</c:formatCode>
                <c:ptCount val="5"/>
                <c:pt idx="0">
                  <c:v>39332063</c:v>
                </c:pt>
                <c:pt idx="1">
                  <c:v>41263459</c:v>
                </c:pt>
                <c:pt idx="2">
                  <c:v>44917440</c:v>
                </c:pt>
                <c:pt idx="3">
                  <c:v>48315498</c:v>
                </c:pt>
                <c:pt idx="4">
                  <c:v>51692580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7-495E-BCEB-746F6995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136744"/>
        <c:axId val="359150512"/>
      </c:barChart>
      <c:catAx>
        <c:axId val="35913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150512"/>
        <c:crosses val="autoZero"/>
        <c:auto val="1"/>
        <c:lblAlgn val="ctr"/>
        <c:lblOffset val="100"/>
        <c:noMultiLvlLbl val="0"/>
      </c:catAx>
      <c:valAx>
        <c:axId val="35915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136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City</a:t>
            </a:r>
            <a:r>
              <a:rPr lang="en-US" sz="1600" b="1" baseline="0"/>
              <a:t> of South Padre Island Pension Funding</a:t>
            </a:r>
          </a:p>
          <a:p>
            <a:pPr>
              <a:defRPr/>
            </a:pPr>
            <a:r>
              <a:rPr lang="en-US" sz="1050" baseline="0"/>
              <a:t>Actuarial Value of Assets (AVA) + Unfunded Liability (UAAL) = Actuarial Accrued Liability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Funding!$I$2</c:f>
              <c:strCache>
                <c:ptCount val="1"/>
                <c:pt idx="0">
                  <c:v>Unfunded Ratio (UAAL)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39446952188434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6F-42E5-A15E-604C55764614}"/>
                </c:ext>
              </c:extLst>
            </c:dLbl>
            <c:dLbl>
              <c:idx val="1"/>
              <c:layout>
                <c:manualLayout>
                  <c:x val="5.39446952188434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6F-42E5-A15E-604C55764614}"/>
                </c:ext>
              </c:extLst>
            </c:dLbl>
            <c:dLbl>
              <c:idx val="2"/>
              <c:layout>
                <c:manualLayout>
                  <c:x val="5.39446952188434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6F-42E5-A15E-604C55764614}"/>
                </c:ext>
              </c:extLst>
            </c:dLbl>
            <c:dLbl>
              <c:idx val="3"/>
              <c:layout>
                <c:manualLayout>
                  <c:x val="5.39446952188434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6F-42E5-A15E-604C55764614}"/>
                </c:ext>
              </c:extLst>
            </c:dLbl>
            <c:dLbl>
              <c:idx val="4"/>
              <c:layout>
                <c:manualLayout>
                  <c:x val="5.3944695218842778E-3"/>
                  <c:y val="-1.126458536270140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6F-42E5-A15E-604C55764614}"/>
                </c:ext>
              </c:extLst>
            </c:dLbl>
            <c:dLbl>
              <c:idx val="5"/>
              <c:layout>
                <c:manualLayout>
                  <c:x val="3.596313014589496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6F-42E5-A15E-604C55764614}"/>
                </c:ext>
              </c:extLst>
            </c:dLbl>
            <c:dLbl>
              <c:idx val="6"/>
              <c:layout>
                <c:manualLayout>
                  <c:x val="3.5963130145895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6F-42E5-A15E-604C55764614}"/>
                </c:ext>
              </c:extLst>
            </c:dLbl>
            <c:dLbl>
              <c:idx val="7"/>
              <c:layout>
                <c:manualLayout>
                  <c:x val="3.596313014589430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6F-42E5-A15E-604C55764614}"/>
                </c:ext>
              </c:extLst>
            </c:dLbl>
            <c:dLbl>
              <c:idx val="8"/>
              <c:layout>
                <c:manualLayout>
                  <c:x val="3.5963130145895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6F-42E5-A15E-604C55764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Funding!$E$3:$E$13</c15:sqref>
                  </c15:fullRef>
                </c:ext>
              </c:extLst>
              <c:f>Funding!$E$3:$E$13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Funding!$I$3:$I$15</c15:sqref>
                  </c15:fullRef>
                </c:ext>
              </c:extLst>
              <c:f>Funding!$I$3:$I$14</c:f>
              <c:numCache>
                <c:formatCode>0.0%</c:formatCode>
                <c:ptCount val="10"/>
                <c:pt idx="0">
                  <c:v>8.0817371946500793E-2</c:v>
                </c:pt>
                <c:pt idx="1">
                  <c:v>7.7121700944320609E-2</c:v>
                </c:pt>
                <c:pt idx="2">
                  <c:v>7.6178656026951522E-2</c:v>
                </c:pt>
                <c:pt idx="3">
                  <c:v>6.9657976539351699E-2</c:v>
                </c:pt>
                <c:pt idx="4">
                  <c:v>6.9106161908243105E-2</c:v>
                </c:pt>
                <c:pt idx="5">
                  <c:v>6.2833546259701653E-2</c:v>
                </c:pt>
                <c:pt idx="6">
                  <c:v>3.9915655156297004E-2</c:v>
                </c:pt>
                <c:pt idx="7">
                  <c:v>4.8756451836970228E-2</c:v>
                </c:pt>
                <c:pt idx="8">
                  <c:v>6.3593321546639131E-2</c:v>
                </c:pt>
                <c:pt idx="9">
                  <c:v>6.3707441184015196E-2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6F-42E5-A15E-604C55764614}"/>
            </c:ext>
          </c:extLst>
        </c:ser>
        <c:ser>
          <c:idx val="1"/>
          <c:order val="1"/>
          <c:tx>
            <c:strRef>
              <c:f>Funding!$J$2</c:f>
              <c:strCache>
                <c:ptCount val="1"/>
                <c:pt idx="0">
                  <c:v>Funded Ratio (AVA)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3.5963130145895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6F-42E5-A15E-604C55764614}"/>
                </c:ext>
              </c:extLst>
            </c:dLbl>
            <c:dLbl>
              <c:idx val="2"/>
              <c:layout>
                <c:manualLayout>
                  <c:x val="-3.5963130145895625E-3"/>
                  <c:y val="5.63229268135070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6F-42E5-A15E-604C55764614}"/>
                </c:ext>
              </c:extLst>
            </c:dLbl>
            <c:dLbl>
              <c:idx val="3"/>
              <c:layout>
                <c:manualLayout>
                  <c:x val="-7.1926260291791909E-3"/>
                  <c:y val="-5.63229268135070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6F-42E5-A15E-604C55764614}"/>
                </c:ext>
              </c:extLst>
            </c:dLbl>
            <c:dLbl>
              <c:idx val="4"/>
              <c:layout>
                <c:manualLayout>
                  <c:x val="-5.3944695218843437E-3"/>
                  <c:y val="-5.632292681350702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6F-42E5-A15E-604C55764614}"/>
                </c:ext>
              </c:extLst>
            </c:dLbl>
            <c:dLbl>
              <c:idx val="5"/>
              <c:layout>
                <c:manualLayout>
                  <c:x val="-5.39446952188440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46F-42E5-A15E-604C55764614}"/>
                </c:ext>
              </c:extLst>
            </c:dLbl>
            <c:dLbl>
              <c:idx val="6"/>
              <c:layout>
                <c:manualLayout>
                  <c:x val="-5.39446952188434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46F-42E5-A15E-604C55764614}"/>
                </c:ext>
              </c:extLst>
            </c:dLbl>
            <c:dLbl>
              <c:idx val="7"/>
              <c:layout>
                <c:manualLayout>
                  <c:x val="-5.39446952188434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46F-42E5-A15E-604C55764614}"/>
                </c:ext>
              </c:extLst>
            </c:dLbl>
            <c:dLbl>
              <c:idx val="8"/>
              <c:layout>
                <c:manualLayout>
                  <c:x val="-5.39446952188434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46F-42E5-A15E-604C55764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7D030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Funding!$E$3:$E$13</c15:sqref>
                  </c15:fullRef>
                </c:ext>
              </c:extLst>
              <c:f>Funding!$E$3:$E$13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Funding!$J$3:$J$13</c15:sqref>
                  </c15:fullRef>
                </c:ext>
              </c:extLst>
              <c:f>Funding!$J$3:$J$13</c:f>
              <c:numCache>
                <c:formatCode>0.0%</c:formatCode>
                <c:ptCount val="10"/>
                <c:pt idx="0">
                  <c:v>0.91918262805349915</c:v>
                </c:pt>
                <c:pt idx="1">
                  <c:v>0.92287829905567942</c:v>
                </c:pt>
                <c:pt idx="2">
                  <c:v>0.92382134397304849</c:v>
                </c:pt>
                <c:pt idx="3">
                  <c:v>0.93034202346064832</c:v>
                </c:pt>
                <c:pt idx="4">
                  <c:v>0.93089383809175685</c:v>
                </c:pt>
                <c:pt idx="5">
                  <c:v>0.93716645374029839</c:v>
                </c:pt>
                <c:pt idx="6">
                  <c:v>0.96008434484370297</c:v>
                </c:pt>
                <c:pt idx="7">
                  <c:v>0.95124354816302981</c:v>
                </c:pt>
                <c:pt idx="8">
                  <c:v>0.9364066784533609</c:v>
                </c:pt>
                <c:pt idx="9">
                  <c:v>0.93629255881598483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46F-42E5-A15E-604C55764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shape val="box"/>
        <c:axId val="359283432"/>
        <c:axId val="359283816"/>
        <c:axId val="0"/>
      </c:bar3DChart>
      <c:catAx>
        <c:axId val="359283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283816"/>
        <c:crosses val="autoZero"/>
        <c:auto val="1"/>
        <c:lblAlgn val="ctr"/>
        <c:lblOffset val="100"/>
        <c:noMultiLvlLbl val="0"/>
      </c:catAx>
      <c:valAx>
        <c:axId val="359283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283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City of South Padre Island Cash Flows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'Cash Flows'!$C$2</c:f>
              <c:strCache>
                <c:ptCount val="1"/>
                <c:pt idx="0">
                  <c:v>Infows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numRef>
              <c:f>'Cash Flows'!$B$4:$B$13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'Cash Flows'!$C$4:$C$13</c:f>
              <c:numCache>
                <c:formatCode>"$"#,##0</c:formatCode>
                <c:ptCount val="10"/>
                <c:pt idx="0">
                  <c:v>1436970</c:v>
                </c:pt>
                <c:pt idx="1">
                  <c:v>1463595</c:v>
                </c:pt>
                <c:pt idx="2">
                  <c:v>1484241</c:v>
                </c:pt>
                <c:pt idx="3">
                  <c:v>1615275</c:v>
                </c:pt>
                <c:pt idx="4">
                  <c:v>1733546</c:v>
                </c:pt>
                <c:pt idx="5">
                  <c:v>1627413</c:v>
                </c:pt>
                <c:pt idx="6">
                  <c:v>1770212</c:v>
                </c:pt>
                <c:pt idx="7">
                  <c:v>1785678</c:v>
                </c:pt>
                <c:pt idx="8">
                  <c:v>1876649</c:v>
                </c:pt>
                <c:pt idx="9">
                  <c:v>2085132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7-48C8-A854-B2319A33DFFB}"/>
            </c:ext>
          </c:extLst>
        </c:ser>
        <c:ser>
          <c:idx val="1"/>
          <c:order val="1"/>
          <c:tx>
            <c:strRef>
              <c:f>'Cash Flows'!$D$2</c:f>
              <c:strCache>
                <c:ptCount val="1"/>
                <c:pt idx="0">
                  <c:v>Outflows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numRef>
              <c:f>'Cash Flows'!$B$4:$B$13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'Cash Flows'!$D$4:$D$13</c:f>
              <c:numCache>
                <c:formatCode>"$"#,##0</c:formatCode>
                <c:ptCount val="10"/>
                <c:pt idx="0">
                  <c:v>734577</c:v>
                </c:pt>
                <c:pt idx="1">
                  <c:v>706482</c:v>
                </c:pt>
                <c:pt idx="2">
                  <c:v>988515</c:v>
                </c:pt>
                <c:pt idx="3">
                  <c:v>1185642</c:v>
                </c:pt>
                <c:pt idx="4">
                  <c:v>1218939</c:v>
                </c:pt>
                <c:pt idx="5">
                  <c:v>1408294</c:v>
                </c:pt>
                <c:pt idx="6">
                  <c:v>1597246</c:v>
                </c:pt>
                <c:pt idx="7">
                  <c:v>1655159</c:v>
                </c:pt>
                <c:pt idx="8">
                  <c:v>1910870</c:v>
                </c:pt>
                <c:pt idx="9">
                  <c:v>1861776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7-48C8-A854-B2319A33D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9004744"/>
        <c:axId val="359009232"/>
      </c:barChart>
      <c:catAx>
        <c:axId val="359004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09232"/>
        <c:crosses val="autoZero"/>
        <c:auto val="1"/>
        <c:lblAlgn val="ctr"/>
        <c:lblOffset val="100"/>
        <c:noMultiLvlLbl val="0"/>
      </c:catAx>
      <c:valAx>
        <c:axId val="35900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004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10</xdr:row>
      <xdr:rowOff>133350</xdr:rowOff>
    </xdr:from>
    <xdr:to>
      <xdr:col>8</xdr:col>
      <xdr:colOff>314325</xdr:colOff>
      <xdr:row>25</xdr:row>
      <xdr:rowOff>95251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16</xdr:row>
      <xdr:rowOff>123825</xdr:rowOff>
    </xdr:from>
    <xdr:to>
      <xdr:col>12</xdr:col>
      <xdr:colOff>242889</xdr:colOff>
      <xdr:row>38</xdr:row>
      <xdr:rowOff>66677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15</xdr:row>
      <xdr:rowOff>47625</xdr:rowOff>
    </xdr:from>
    <xdr:to>
      <xdr:col>8</xdr:col>
      <xdr:colOff>9525</xdr:colOff>
      <xdr:row>29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2025/Pensions%20Downloadable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Benefit"/>
      <sheetName val="2 Members"/>
      <sheetName val="3 Summary"/>
      <sheetName val="4 Funding"/>
      <sheetName val="AVA vs AAL"/>
      <sheetName val="Contributions"/>
      <sheetName val="Cash Flows"/>
    </sheetNames>
    <sheetDataSet>
      <sheetData sheetId="0"/>
      <sheetData sheetId="1"/>
      <sheetData sheetId="2">
        <row r="12">
          <cell r="D12">
            <v>51692580</v>
          </cell>
          <cell r="E12">
            <v>48315498</v>
          </cell>
          <cell r="F12">
            <v>44917440</v>
          </cell>
          <cell r="G12">
            <v>41263459</v>
          </cell>
          <cell r="H12">
            <v>39332063</v>
          </cell>
          <cell r="J12">
            <v>36812752</v>
          </cell>
          <cell r="K12">
            <v>34168621</v>
          </cell>
          <cell r="L12">
            <v>31706112</v>
          </cell>
          <cell r="M12">
            <v>29300430</v>
          </cell>
          <cell r="N12">
            <v>26892139</v>
          </cell>
          <cell r="O12">
            <v>24822353</v>
          </cell>
        </row>
        <row r="13">
          <cell r="D13">
            <v>48399378</v>
          </cell>
          <cell r="E13">
            <v>45242955</v>
          </cell>
          <cell r="F13">
            <v>42727425</v>
          </cell>
          <cell r="G13">
            <v>39616401</v>
          </cell>
          <cell r="H13">
            <v>36860690</v>
          </cell>
          <cell r="J13">
            <v>34268764</v>
          </cell>
          <cell r="K13">
            <v>31788504</v>
          </cell>
          <cell r="L13">
            <v>29290783</v>
          </cell>
          <cell r="M13">
            <v>27040731</v>
          </cell>
          <cell r="N13">
            <v>24718787</v>
          </cell>
          <cell r="O13">
            <v>22358470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1:D15"/>
  <sheetViews>
    <sheetView workbookViewId="0">
      <selection activeCell="C1" sqref="C1:D1"/>
    </sheetView>
  </sheetViews>
  <sheetFormatPr defaultRowHeight="15" x14ac:dyDescent="0.25"/>
  <cols>
    <col min="1" max="2" width="3.7109375" customWidth="1"/>
    <col min="3" max="3" width="25" bestFit="1" customWidth="1"/>
    <col min="4" max="4" width="29.140625" bestFit="1" customWidth="1"/>
  </cols>
  <sheetData>
    <row r="1" spans="3:4" ht="15.75" x14ac:dyDescent="0.25">
      <c r="C1" s="69" t="s">
        <v>62</v>
      </c>
      <c r="D1" s="69"/>
    </row>
    <row r="3" spans="3:4" x14ac:dyDescent="0.25">
      <c r="C3" s="23" t="s">
        <v>0</v>
      </c>
      <c r="D3" s="23" t="s">
        <v>8</v>
      </c>
    </row>
    <row r="4" spans="3:4" x14ac:dyDescent="0.25">
      <c r="C4" s="23" t="s">
        <v>1</v>
      </c>
      <c r="D4" s="23" t="s">
        <v>41</v>
      </c>
    </row>
    <row r="5" spans="3:4" x14ac:dyDescent="0.25">
      <c r="C5" s="23" t="s">
        <v>3</v>
      </c>
      <c r="D5" s="23" t="s">
        <v>7</v>
      </c>
    </row>
    <row r="6" spans="3:4" x14ac:dyDescent="0.25">
      <c r="C6" s="23" t="s">
        <v>4</v>
      </c>
      <c r="D6" s="23" t="s">
        <v>10</v>
      </c>
    </row>
    <row r="7" spans="3:4" x14ac:dyDescent="0.25">
      <c r="C7" s="23" t="s">
        <v>42</v>
      </c>
      <c r="D7" s="23" t="s">
        <v>9</v>
      </c>
    </row>
    <row r="8" spans="3:4" x14ac:dyDescent="0.25">
      <c r="C8" s="23" t="s">
        <v>2</v>
      </c>
      <c r="D8" s="23" t="s">
        <v>6</v>
      </c>
    </row>
    <row r="9" spans="3:4" ht="26.25" x14ac:dyDescent="0.25">
      <c r="C9" s="23" t="s">
        <v>5</v>
      </c>
      <c r="D9" s="24" t="s">
        <v>11</v>
      </c>
    </row>
    <row r="14" spans="3:4" x14ac:dyDescent="0.25">
      <c r="C14" s="1" t="s">
        <v>60</v>
      </c>
    </row>
    <row r="15" spans="3:4" x14ac:dyDescent="0.25">
      <c r="C15" t="s">
        <v>61</v>
      </c>
    </row>
  </sheetData>
  <mergeCells count="1">
    <mergeCell ref="C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13"/>
  <sheetViews>
    <sheetView workbookViewId="0">
      <selection activeCell="D32" sqref="D32"/>
    </sheetView>
  </sheetViews>
  <sheetFormatPr defaultRowHeight="15" x14ac:dyDescent="0.25"/>
  <cols>
    <col min="1" max="2" width="4.7109375" customWidth="1"/>
    <col min="3" max="3" width="21.85546875" bestFit="1" customWidth="1"/>
    <col min="4" max="11" width="7" bestFit="1" customWidth="1"/>
  </cols>
  <sheetData>
    <row r="2" spans="3:14" ht="15.75" x14ac:dyDescent="0.25">
      <c r="C2" s="49" t="s">
        <v>63</v>
      </c>
    </row>
    <row r="3" spans="3:14" ht="15.75" x14ac:dyDescent="0.25">
      <c r="C3" s="49"/>
    </row>
    <row r="4" spans="3:14" x14ac:dyDescent="0.25">
      <c r="D4" s="35">
        <v>45291</v>
      </c>
      <c r="E4" s="50">
        <v>44896</v>
      </c>
      <c r="F4" s="50">
        <v>44531</v>
      </c>
      <c r="G4" s="35">
        <v>44196</v>
      </c>
      <c r="H4" s="35">
        <v>43830</v>
      </c>
      <c r="I4" s="35">
        <v>43465</v>
      </c>
      <c r="J4" s="35">
        <v>43100</v>
      </c>
      <c r="K4" s="35">
        <v>42735</v>
      </c>
      <c r="L4" s="35">
        <v>42369</v>
      </c>
      <c r="M4" s="35">
        <v>42004</v>
      </c>
      <c r="N4" s="35">
        <v>41639</v>
      </c>
    </row>
    <row r="5" spans="3:14" x14ac:dyDescent="0.25">
      <c r="C5" s="25" t="s">
        <v>26</v>
      </c>
      <c r="D5" s="51">
        <v>176</v>
      </c>
      <c r="E5" s="23">
        <v>168</v>
      </c>
      <c r="F5" s="52">
        <v>169</v>
      </c>
      <c r="G5" s="2">
        <v>159</v>
      </c>
      <c r="H5" s="2">
        <v>173</v>
      </c>
      <c r="I5" s="2">
        <v>168</v>
      </c>
      <c r="J5" s="2">
        <v>171</v>
      </c>
      <c r="K5" s="2">
        <v>163</v>
      </c>
      <c r="L5" s="2">
        <v>166</v>
      </c>
      <c r="M5" s="2">
        <v>163</v>
      </c>
      <c r="N5" s="2">
        <v>162</v>
      </c>
    </row>
    <row r="6" spans="3:14" x14ac:dyDescent="0.25">
      <c r="C6" s="25" t="s">
        <v>27</v>
      </c>
      <c r="D6" s="51">
        <v>97</v>
      </c>
      <c r="E6" s="23">
        <v>93</v>
      </c>
      <c r="F6" s="52">
        <v>86</v>
      </c>
      <c r="G6" s="2">
        <v>79</v>
      </c>
      <c r="H6" s="2">
        <v>73</v>
      </c>
      <c r="I6" s="2">
        <v>66</v>
      </c>
      <c r="J6" s="2">
        <v>62</v>
      </c>
      <c r="K6" s="2">
        <v>54</v>
      </c>
      <c r="L6" s="2">
        <v>43</v>
      </c>
      <c r="M6" s="2">
        <v>38</v>
      </c>
      <c r="N6" s="2">
        <v>30</v>
      </c>
    </row>
    <row r="7" spans="3:14" x14ac:dyDescent="0.25">
      <c r="C7" s="25" t="s">
        <v>28</v>
      </c>
      <c r="D7" s="51">
        <v>123</v>
      </c>
      <c r="E7" s="23">
        <v>127</v>
      </c>
      <c r="F7" s="52">
        <v>111</v>
      </c>
      <c r="G7" s="2">
        <v>113</v>
      </c>
      <c r="H7" s="2">
        <v>99</v>
      </c>
      <c r="I7" s="2">
        <v>94</v>
      </c>
      <c r="J7" s="2">
        <v>89</v>
      </c>
      <c r="K7" s="2">
        <v>86</v>
      </c>
      <c r="L7" s="2">
        <v>83</v>
      </c>
      <c r="M7" s="2">
        <v>80</v>
      </c>
      <c r="N7" s="2">
        <v>80</v>
      </c>
    </row>
    <row r="8" spans="3:14" x14ac:dyDescent="0.25">
      <c r="C8" s="26" t="s">
        <v>29</v>
      </c>
      <c r="D8" s="53">
        <f>+SUM(D5:D7)</f>
        <v>396</v>
      </c>
      <c r="E8" s="53">
        <f>+SUM(E5:E7)</f>
        <v>388</v>
      </c>
      <c r="F8" s="54">
        <f>SUM(F5:F7)</f>
        <v>366</v>
      </c>
      <c r="G8" s="55">
        <f>SUM(G5:G7)</f>
        <v>351</v>
      </c>
      <c r="H8" s="55">
        <f t="shared" ref="H8:K8" si="0">SUM(H5:H7)</f>
        <v>345</v>
      </c>
      <c r="I8" s="55">
        <f t="shared" si="0"/>
        <v>328</v>
      </c>
      <c r="J8" s="55">
        <f t="shared" si="0"/>
        <v>322</v>
      </c>
      <c r="K8" s="55">
        <f t="shared" si="0"/>
        <v>303</v>
      </c>
      <c r="L8" s="55">
        <f>SUM(L5:L7)</f>
        <v>292</v>
      </c>
      <c r="M8" s="55">
        <f t="shared" ref="M8" si="1">SUM(M5:M7)</f>
        <v>281</v>
      </c>
      <c r="N8" s="55">
        <f>SUM(N5:N7)</f>
        <v>272</v>
      </c>
    </row>
    <row r="12" spans="3:14" x14ac:dyDescent="0.25">
      <c r="C12" s="1" t="s">
        <v>60</v>
      </c>
    </row>
    <row r="13" spans="3:14" x14ac:dyDescent="0.25">
      <c r="C13" t="s">
        <v>64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D47" sqref="D47"/>
    </sheetView>
  </sheetViews>
  <sheetFormatPr defaultRowHeight="15" x14ac:dyDescent="0.25"/>
  <cols>
    <col min="1" max="1" width="3.7109375" customWidth="1"/>
    <col min="2" max="2" width="40" customWidth="1"/>
    <col min="3" max="3" width="13.42578125" customWidth="1"/>
    <col min="4" max="4" width="13.7109375" customWidth="1"/>
    <col min="5" max="6" width="12.5703125" bestFit="1" customWidth="1"/>
    <col min="7" max="7" width="12.7109375" bestFit="1" customWidth="1"/>
  </cols>
  <sheetData>
    <row r="1" spans="1:7" x14ac:dyDescent="0.25">
      <c r="C1" s="12"/>
      <c r="D1" s="12"/>
      <c r="E1" s="12"/>
      <c r="F1" s="12"/>
      <c r="G1" s="12"/>
    </row>
    <row r="2" spans="1:7" x14ac:dyDescent="0.25">
      <c r="B2" s="18"/>
      <c r="C2" s="18"/>
      <c r="D2" s="27"/>
    </row>
    <row r="3" spans="1:7" ht="15.75" x14ac:dyDescent="0.25">
      <c r="B3" s="56" t="s">
        <v>32</v>
      </c>
      <c r="C3" s="19">
        <v>45291</v>
      </c>
      <c r="D3" s="19">
        <v>44926</v>
      </c>
      <c r="E3" s="19">
        <v>44561</v>
      </c>
      <c r="F3" s="19">
        <v>44196</v>
      </c>
      <c r="G3" s="19">
        <v>43830</v>
      </c>
    </row>
    <row r="4" spans="1:7" x14ac:dyDescent="0.25">
      <c r="A4" s="13" t="s">
        <v>43</v>
      </c>
      <c r="B4" s="20" t="s">
        <v>45</v>
      </c>
      <c r="C4" s="17">
        <v>51692580</v>
      </c>
      <c r="D4" s="17">
        <v>48315498</v>
      </c>
      <c r="E4" s="17">
        <v>44917440</v>
      </c>
      <c r="F4" s="17">
        <v>41263459</v>
      </c>
      <c r="G4" s="17">
        <v>39332063</v>
      </c>
    </row>
    <row r="5" spans="1:7" x14ac:dyDescent="0.25">
      <c r="A5" s="13">
        <v>5</v>
      </c>
      <c r="B5" s="20" t="s">
        <v>46</v>
      </c>
      <c r="C5" s="21">
        <v>48399378</v>
      </c>
      <c r="D5" s="21">
        <v>45242955</v>
      </c>
      <c r="E5" s="21">
        <v>42727425</v>
      </c>
      <c r="F5" s="21">
        <v>39616401</v>
      </c>
      <c r="G5" s="21">
        <v>36860690</v>
      </c>
    </row>
    <row r="6" spans="1:7" x14ac:dyDescent="0.25">
      <c r="A6" s="13">
        <v>6</v>
      </c>
      <c r="B6" s="20" t="s">
        <v>47</v>
      </c>
      <c r="C6" s="33">
        <f>+C4-C5</f>
        <v>3293202</v>
      </c>
      <c r="D6" s="33">
        <f>+D4-D5</f>
        <v>3072543</v>
      </c>
      <c r="E6" s="33">
        <f>+E4-E5</f>
        <v>2190015</v>
      </c>
      <c r="F6" s="21">
        <v>1647058</v>
      </c>
      <c r="G6" s="21">
        <f>+G4-G5</f>
        <v>2471373</v>
      </c>
    </row>
    <row r="7" spans="1:7" x14ac:dyDescent="0.25">
      <c r="A7" s="13">
        <v>7</v>
      </c>
      <c r="B7" s="20" t="s">
        <v>13</v>
      </c>
      <c r="C7" s="34">
        <f>C5/C4</f>
        <v>0.93629255881598483</v>
      </c>
      <c r="D7" s="34">
        <f>D5/D4</f>
        <v>0.9364066784533609</v>
      </c>
      <c r="E7" s="34">
        <f>E5/E4</f>
        <v>0.95124354816302981</v>
      </c>
      <c r="F7" s="57">
        <v>0.96009999999999995</v>
      </c>
      <c r="G7" s="57">
        <f>G5/G4</f>
        <v>0.93716645374029839</v>
      </c>
    </row>
    <row r="8" spans="1:7" x14ac:dyDescent="0.25">
      <c r="A8" s="13"/>
      <c r="B8" s="20" t="s">
        <v>14</v>
      </c>
      <c r="C8" s="34">
        <f>C6/C23</f>
        <v>0.30797774279534801</v>
      </c>
      <c r="D8" s="34">
        <f>D6/D23</f>
        <v>0.31514043733188046</v>
      </c>
      <c r="E8" s="34">
        <f>E6/E23</f>
        <v>0.24011210856238299</v>
      </c>
      <c r="F8" s="57">
        <f>F6/F23</f>
        <v>0.19218099428401275</v>
      </c>
      <c r="G8" s="57">
        <f>G6/G23</f>
        <v>0.30100540851023716</v>
      </c>
    </row>
    <row r="9" spans="1:7" x14ac:dyDescent="0.25">
      <c r="A9" s="13"/>
      <c r="B9" s="18"/>
      <c r="C9" s="22"/>
    </row>
    <row r="10" spans="1:7" ht="15.75" x14ac:dyDescent="0.25">
      <c r="A10" s="13"/>
      <c r="B10" s="56" t="s">
        <v>33</v>
      </c>
      <c r="C10" s="19">
        <v>45291</v>
      </c>
      <c r="D10" s="19">
        <v>44926</v>
      </c>
      <c r="E10" s="19">
        <f>+E3</f>
        <v>44561</v>
      </c>
      <c r="F10" s="19">
        <v>44196</v>
      </c>
      <c r="G10" s="19">
        <v>43830</v>
      </c>
    </row>
    <row r="11" spans="1:7" x14ac:dyDescent="0.25">
      <c r="A11" s="13"/>
      <c r="B11" s="20" t="s">
        <v>15</v>
      </c>
      <c r="C11" s="21">
        <v>51692580</v>
      </c>
      <c r="D11" s="21">
        <v>48315498</v>
      </c>
      <c r="E11" s="21">
        <v>44917440</v>
      </c>
      <c r="F11" s="21">
        <v>41263459</v>
      </c>
      <c r="G11" s="21">
        <v>39332063</v>
      </c>
    </row>
    <row r="12" spans="1:7" x14ac:dyDescent="0.25">
      <c r="A12" s="13"/>
      <c r="B12" s="20" t="s">
        <v>16</v>
      </c>
      <c r="C12" s="21">
        <v>48111707</v>
      </c>
      <c r="D12" s="21">
        <v>42942348</v>
      </c>
      <c r="E12" s="21">
        <v>46341937</v>
      </c>
      <c r="F12" s="21">
        <v>40895573</v>
      </c>
      <c r="G12" s="21">
        <v>37869000</v>
      </c>
    </row>
    <row r="13" spans="1:7" x14ac:dyDescent="0.25">
      <c r="A13" s="13"/>
      <c r="B13" s="20" t="s">
        <v>17</v>
      </c>
      <c r="C13" s="33">
        <f>+C11-C12</f>
        <v>3580873</v>
      </c>
      <c r="D13" s="33">
        <f>+D11-D12</f>
        <v>5373150</v>
      </c>
      <c r="E13" s="33">
        <f>+E11-E12</f>
        <v>-1424497</v>
      </c>
      <c r="F13" s="21">
        <f>+F11-F12</f>
        <v>367886</v>
      </c>
      <c r="G13" s="21">
        <f>+G11-G12</f>
        <v>1463063</v>
      </c>
    </row>
    <row r="14" spans="1:7" x14ac:dyDescent="0.25">
      <c r="A14" s="13"/>
      <c r="B14" s="20" t="s">
        <v>13</v>
      </c>
      <c r="C14" s="34">
        <f>C12/C11</f>
        <v>0.93072752414369719</v>
      </c>
      <c r="D14" s="34">
        <f>D12/D11</f>
        <v>0.88879034217964592</v>
      </c>
      <c r="E14" s="34">
        <f>E12/E11</f>
        <v>1.0317136729074499</v>
      </c>
      <c r="F14" s="57">
        <f>F12/F11</f>
        <v>0.99108446046658372</v>
      </c>
      <c r="G14" s="57">
        <f>G12/G11</f>
        <v>0.96280228169063997</v>
      </c>
    </row>
    <row r="15" spans="1:7" x14ac:dyDescent="0.25">
      <c r="B15" s="20" t="s">
        <v>18</v>
      </c>
      <c r="C15" s="34">
        <f>C13/C23</f>
        <v>0.33488051561270954</v>
      </c>
      <c r="D15" s="34">
        <f>D13/D23</f>
        <v>0.55110598642550923</v>
      </c>
      <c r="E15" s="34">
        <f>E13/E23</f>
        <v>-0.15618111214342772</v>
      </c>
      <c r="F15" s="57">
        <f>F13/F23</f>
        <v>4.2925444801074589E-2</v>
      </c>
      <c r="G15" s="57">
        <f>G13/G23</f>
        <v>0.17819644221702394</v>
      </c>
    </row>
    <row r="16" spans="1:7" x14ac:dyDescent="0.25">
      <c r="B16" s="48"/>
      <c r="C16" s="32"/>
      <c r="D16" s="32"/>
      <c r="E16" s="32"/>
      <c r="F16" s="32"/>
      <c r="G16" s="32"/>
    </row>
    <row r="17" spans="1:7" x14ac:dyDescent="0.25">
      <c r="B17" s="48"/>
      <c r="C17" s="32"/>
      <c r="D17" s="32"/>
      <c r="E17" s="32"/>
      <c r="F17" s="32"/>
      <c r="G17" s="32"/>
    </row>
    <row r="18" spans="1:7" x14ac:dyDescent="0.25">
      <c r="B18" s="48"/>
      <c r="C18" s="32"/>
      <c r="D18" s="32"/>
      <c r="E18" s="32"/>
      <c r="F18" s="32"/>
      <c r="G18" s="32"/>
    </row>
    <row r="19" spans="1:7" x14ac:dyDescent="0.25">
      <c r="A19" s="13"/>
    </row>
    <row r="20" spans="1:7" x14ac:dyDescent="0.25">
      <c r="B20" s="14" t="s">
        <v>44</v>
      </c>
      <c r="C20" s="15">
        <v>0.1351</v>
      </c>
      <c r="D20" s="58">
        <v>0.13</v>
      </c>
      <c r="E20" s="59">
        <v>0.125</v>
      </c>
      <c r="F20" s="59">
        <v>0.1225</v>
      </c>
      <c r="G20" s="59">
        <v>0.1255</v>
      </c>
    </row>
    <row r="21" spans="1:7" x14ac:dyDescent="0.25">
      <c r="A21" s="13"/>
    </row>
    <row r="22" spans="1:7" x14ac:dyDescent="0.25">
      <c r="A22" s="13"/>
      <c r="B22" s="14" t="s">
        <v>31</v>
      </c>
      <c r="C22" s="16" t="s">
        <v>65</v>
      </c>
      <c r="D22" s="16" t="s">
        <v>66</v>
      </c>
      <c r="E22" s="16" t="s">
        <v>67</v>
      </c>
      <c r="F22" s="16" t="s">
        <v>40</v>
      </c>
      <c r="G22" s="16" t="s">
        <v>68</v>
      </c>
    </row>
    <row r="23" spans="1:7" x14ac:dyDescent="0.25">
      <c r="A23" s="13"/>
      <c r="B23" s="14" t="s">
        <v>30</v>
      </c>
      <c r="C23" s="17">
        <v>10692987</v>
      </c>
      <c r="D23" s="17">
        <v>9749758</v>
      </c>
      <c r="E23" s="17">
        <v>9120802</v>
      </c>
      <c r="F23" s="17">
        <v>8570348</v>
      </c>
      <c r="G23" s="17">
        <v>8210394</v>
      </c>
    </row>
    <row r="24" spans="1:7" x14ac:dyDescent="0.25">
      <c r="A24" s="13"/>
      <c r="B24" s="18" t="s">
        <v>39</v>
      </c>
      <c r="C24" s="18"/>
      <c r="D24" s="27"/>
    </row>
    <row r="25" spans="1:7" x14ac:dyDescent="0.25">
      <c r="B25" s="18"/>
      <c r="C25" s="18"/>
    </row>
    <row r="26" spans="1:7" ht="15" customHeight="1" x14ac:dyDescent="0.25">
      <c r="B26" s="70" t="s">
        <v>55</v>
      </c>
      <c r="C26" s="72">
        <v>6.7500000000000004E-2</v>
      </c>
      <c r="D26" s="72">
        <v>6.7500000000000004E-2</v>
      </c>
      <c r="E26" s="72">
        <v>6.7500000000000004E-2</v>
      </c>
      <c r="F26" s="72">
        <v>6.7500000000000004E-2</v>
      </c>
      <c r="G26" s="72">
        <v>6.7500000000000004E-2</v>
      </c>
    </row>
    <row r="27" spans="1:7" x14ac:dyDescent="0.25">
      <c r="B27" s="71"/>
      <c r="C27" s="73"/>
      <c r="D27" s="73"/>
      <c r="E27" s="73"/>
      <c r="F27" s="73"/>
      <c r="G27" s="73"/>
    </row>
    <row r="28" spans="1:7" ht="15" hidden="1" customHeight="1" x14ac:dyDescent="0.25"/>
    <row r="29" spans="1:7" ht="15" hidden="1" customHeight="1" x14ac:dyDescent="0.25">
      <c r="B29" s="2" t="s">
        <v>19</v>
      </c>
      <c r="C29" s="3">
        <f>+C4</f>
        <v>51692580</v>
      </c>
    </row>
    <row r="30" spans="1:7" ht="15" hidden="1" customHeight="1" x14ac:dyDescent="0.25">
      <c r="B30" s="2" t="s">
        <v>20</v>
      </c>
      <c r="C30" s="3">
        <f>+C5</f>
        <v>48399378</v>
      </c>
    </row>
    <row r="31" spans="1:7" ht="15" hidden="1" customHeight="1" x14ac:dyDescent="0.25">
      <c r="B31" s="2" t="s">
        <v>21</v>
      </c>
      <c r="C31" s="3">
        <f>+C6</f>
        <v>3293202</v>
      </c>
    </row>
    <row r="32" spans="1:7" ht="15" hidden="1" customHeight="1" x14ac:dyDescent="0.25">
      <c r="B32" s="2" t="s">
        <v>22</v>
      </c>
      <c r="C32" s="5">
        <f>+C7</f>
        <v>0.93629255881598483</v>
      </c>
    </row>
    <row r="33" spans="2:3" ht="15" hidden="1" customHeight="1" x14ac:dyDescent="0.25">
      <c r="B33" s="2" t="s">
        <v>23</v>
      </c>
      <c r="C33" s="4" t="str">
        <f>+C22</f>
        <v>19.4 years *</v>
      </c>
    </row>
    <row r="34" spans="2:3" ht="15" hidden="1" customHeight="1" x14ac:dyDescent="0.25">
      <c r="B34" s="2" t="s">
        <v>30</v>
      </c>
      <c r="C34" s="3">
        <f>+C23</f>
        <v>10692987</v>
      </c>
    </row>
    <row r="35" spans="2:3" ht="15" hidden="1" customHeight="1" x14ac:dyDescent="0.25">
      <c r="B35" s="2" t="s">
        <v>25</v>
      </c>
      <c r="C35" s="5">
        <f>+C8</f>
        <v>0.30797774279534801</v>
      </c>
    </row>
    <row r="36" spans="2:3" ht="15" hidden="1" customHeight="1" x14ac:dyDescent="0.25">
      <c r="B36" s="2" t="s">
        <v>24</v>
      </c>
      <c r="C36" s="5">
        <v>6.7500000000000004E-2</v>
      </c>
    </row>
    <row r="37" spans="2:3" ht="15" hidden="1" customHeight="1" x14ac:dyDescent="0.25"/>
  </sheetData>
  <mergeCells count="6">
    <mergeCell ref="B26:B27"/>
    <mergeCell ref="C26:C27"/>
    <mergeCell ref="D26:D27"/>
    <mergeCell ref="G26:G27"/>
    <mergeCell ref="F26:F27"/>
    <mergeCell ref="E26:E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8"/>
  <sheetViews>
    <sheetView zoomScaleNormal="100" workbookViewId="0">
      <selection activeCell="F8" sqref="F8"/>
    </sheetView>
  </sheetViews>
  <sheetFormatPr defaultColWidth="9" defaultRowHeight="15" x14ac:dyDescent="0.25"/>
  <cols>
    <col min="1" max="3" width="4.7109375" customWidth="1"/>
    <col min="4" max="4" width="6.42578125" bestFit="1" customWidth="1"/>
    <col min="5" max="5" width="16.85546875" bestFit="1" customWidth="1"/>
    <col min="6" max="6" width="16.5703125" bestFit="1" customWidth="1"/>
  </cols>
  <sheetData>
    <row r="3" spans="4:6" ht="30" x14ac:dyDescent="0.25">
      <c r="D3" s="39" t="s">
        <v>50</v>
      </c>
      <c r="E3" s="31" t="s">
        <v>46</v>
      </c>
      <c r="F3" s="31" t="s">
        <v>51</v>
      </c>
    </row>
    <row r="4" spans="4:6" x14ac:dyDescent="0.25">
      <c r="D4" s="2">
        <v>2019</v>
      </c>
      <c r="E4" s="38">
        <v>36860690</v>
      </c>
      <c r="F4" s="38">
        <v>39332063</v>
      </c>
    </row>
    <row r="5" spans="4:6" x14ac:dyDescent="0.25">
      <c r="D5" s="2">
        <v>2020</v>
      </c>
      <c r="E5" s="38">
        <v>39616401</v>
      </c>
      <c r="F5" s="38">
        <v>41263459</v>
      </c>
    </row>
    <row r="6" spans="4:6" x14ac:dyDescent="0.25">
      <c r="D6" s="2">
        <v>2021</v>
      </c>
      <c r="E6" s="38">
        <v>42727425</v>
      </c>
      <c r="F6" s="38">
        <v>44917440</v>
      </c>
    </row>
    <row r="7" spans="4:6" x14ac:dyDescent="0.25">
      <c r="D7" s="2">
        <v>2022</v>
      </c>
      <c r="E7" s="38">
        <v>45242955</v>
      </c>
      <c r="F7" s="38">
        <v>48315498</v>
      </c>
    </row>
    <row r="8" spans="4:6" x14ac:dyDescent="0.25">
      <c r="D8" s="2">
        <v>2023</v>
      </c>
      <c r="E8" s="38">
        <v>48399378</v>
      </c>
      <c r="F8" s="38">
        <v>51692580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19"/>
  <sheetViews>
    <sheetView workbookViewId="0">
      <selection activeCell="F16" sqref="F16"/>
    </sheetView>
  </sheetViews>
  <sheetFormatPr defaultRowHeight="15" x14ac:dyDescent="0.25"/>
  <cols>
    <col min="1" max="3" width="3.7109375" customWidth="1"/>
    <col min="4" max="4" width="22" bestFit="1" customWidth="1"/>
    <col min="5" max="9" width="7.85546875" customWidth="1"/>
  </cols>
  <sheetData>
    <row r="2" spans="3:9" x14ac:dyDescent="0.25">
      <c r="D2" s="12"/>
      <c r="E2" s="12"/>
      <c r="F2" s="12"/>
      <c r="G2" s="12"/>
      <c r="H2" s="12"/>
      <c r="I2" s="12"/>
    </row>
    <row r="3" spans="3:9" ht="15.75" thickBot="1" x14ac:dyDescent="0.3"/>
    <row r="4" spans="3:9" ht="16.5" thickBot="1" x14ac:dyDescent="0.3">
      <c r="C4" s="36"/>
      <c r="D4" s="74" t="s">
        <v>57</v>
      </c>
      <c r="E4" s="75"/>
      <c r="F4" s="75"/>
      <c r="G4" s="75"/>
      <c r="H4" s="75"/>
      <c r="I4" s="75"/>
    </row>
    <row r="5" spans="3:9" s="37" customFormat="1" ht="15.75" thickBot="1" x14ac:dyDescent="0.3">
      <c r="C5" s="40"/>
      <c r="D5" s="47" t="s">
        <v>56</v>
      </c>
      <c r="E5" s="41">
        <v>2023</v>
      </c>
      <c r="F5" s="41">
        <v>2022</v>
      </c>
      <c r="G5" s="41">
        <v>2021</v>
      </c>
      <c r="H5" s="41">
        <v>2020</v>
      </c>
      <c r="I5" s="42">
        <v>2019</v>
      </c>
    </row>
    <row r="6" spans="3:9" x14ac:dyDescent="0.25">
      <c r="C6" s="36"/>
      <c r="D6" s="45" t="s">
        <v>54</v>
      </c>
      <c r="E6" s="60">
        <v>7.0000000000000007E-2</v>
      </c>
      <c r="F6" s="60">
        <v>7.0000000000000007E-2</v>
      </c>
      <c r="G6" s="60">
        <v>7.0000000000000007E-2</v>
      </c>
      <c r="H6" s="60">
        <v>7.0000000000000007E-2</v>
      </c>
      <c r="I6" s="44">
        <v>7.0000000000000007E-2</v>
      </c>
    </row>
    <row r="7" spans="3:9" ht="30" x14ac:dyDescent="0.25">
      <c r="C7" s="36"/>
      <c r="D7" s="45" t="s">
        <v>53</v>
      </c>
      <c r="E7" s="60">
        <v>0.1351</v>
      </c>
      <c r="F7" s="60">
        <v>0.13</v>
      </c>
      <c r="G7" s="60">
        <v>0.125</v>
      </c>
      <c r="H7" s="43">
        <v>0.1225</v>
      </c>
      <c r="I7" s="44">
        <v>0.1255</v>
      </c>
    </row>
    <row r="8" spans="3:9" ht="15.75" thickBot="1" x14ac:dyDescent="0.3">
      <c r="C8" s="36"/>
      <c r="D8" s="46" t="s">
        <v>52</v>
      </c>
      <c r="E8" s="61">
        <f>SUM(E6:E7)</f>
        <v>0.2051</v>
      </c>
      <c r="F8" s="61">
        <f>SUM(F6:F7)</f>
        <v>0.2</v>
      </c>
      <c r="G8" s="61">
        <f>SUM(G6:G7)</f>
        <v>0.19500000000000001</v>
      </c>
      <c r="H8" s="61">
        <f>SUM(H6:H7)</f>
        <v>0.1925</v>
      </c>
      <c r="I8" s="62">
        <f>+I7+I6</f>
        <v>0.19550000000000001</v>
      </c>
    </row>
    <row r="9" spans="3:9" x14ac:dyDescent="0.25">
      <c r="C9" s="36"/>
    </row>
    <row r="10" spans="3:9" x14ac:dyDescent="0.25">
      <c r="C10" s="36"/>
    </row>
    <row r="11" spans="3:9" x14ac:dyDescent="0.25">
      <c r="C11" s="36"/>
    </row>
    <row r="12" spans="3:9" x14ac:dyDescent="0.25">
      <c r="C12" s="36"/>
    </row>
    <row r="13" spans="3:9" x14ac:dyDescent="0.25">
      <c r="C13" s="36"/>
    </row>
    <row r="14" spans="3:9" x14ac:dyDescent="0.25">
      <c r="C14" s="36"/>
    </row>
    <row r="15" spans="3:9" x14ac:dyDescent="0.25">
      <c r="C15" s="36"/>
    </row>
    <row r="16" spans="3:9" x14ac:dyDescent="0.25">
      <c r="C16" s="36"/>
    </row>
    <row r="17" spans="3:3" x14ac:dyDescent="0.25">
      <c r="C17" s="36"/>
    </row>
    <row r="18" spans="3:3" x14ac:dyDescent="0.25">
      <c r="C18" s="36"/>
    </row>
    <row r="19" spans="3:3" x14ac:dyDescent="0.25">
      <c r="C19" s="36"/>
    </row>
  </sheetData>
  <mergeCells count="1">
    <mergeCell ref="D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J16"/>
  <sheetViews>
    <sheetView zoomScaleNormal="100" workbookViewId="0">
      <selection activeCell="L10" sqref="L10"/>
    </sheetView>
  </sheetViews>
  <sheetFormatPr defaultRowHeight="15" x14ac:dyDescent="0.25"/>
  <cols>
    <col min="1" max="1" width="4.7109375" customWidth="1"/>
    <col min="2" max="2" width="9.140625" customWidth="1"/>
    <col min="4" max="4" width="9.140625" customWidth="1"/>
    <col min="5" max="5" width="5" bestFit="1" customWidth="1"/>
    <col min="6" max="7" width="12.5703125" bestFit="1" customWidth="1"/>
    <col min="8" max="8" width="11.5703125" bestFit="1" customWidth="1"/>
    <col min="9" max="9" width="10.7109375" customWidth="1"/>
    <col min="10" max="10" width="8.28515625" customWidth="1"/>
  </cols>
  <sheetData>
    <row r="1" spans="5:10" ht="15.75" thickBot="1" x14ac:dyDescent="0.3"/>
    <row r="2" spans="5:10" s="66" customFormat="1" ht="75.75" thickBot="1" x14ac:dyDescent="0.3">
      <c r="E2" s="63" t="s">
        <v>34</v>
      </c>
      <c r="F2" s="64" t="s">
        <v>35</v>
      </c>
      <c r="G2" s="64" t="s">
        <v>12</v>
      </c>
      <c r="H2" s="64" t="s">
        <v>36</v>
      </c>
      <c r="I2" s="65" t="s">
        <v>37</v>
      </c>
      <c r="J2" s="64" t="s">
        <v>38</v>
      </c>
    </row>
    <row r="3" spans="5:10" hidden="1" x14ac:dyDescent="0.25">
      <c r="E3" s="67">
        <v>2013</v>
      </c>
      <c r="F3" s="6">
        <f>+'[1]3 Summary'!$O$12</f>
        <v>24822353</v>
      </c>
      <c r="G3" s="6">
        <f>+'[1]3 Summary'!O13</f>
        <v>22358470</v>
      </c>
      <c r="H3" s="6">
        <f>F3-G3</f>
        <v>2463883</v>
      </c>
      <c r="I3" s="8">
        <f>H3/F3</f>
        <v>9.9260654298164233E-2</v>
      </c>
      <c r="J3" s="7">
        <f>G3/F3</f>
        <v>0.90073934570183578</v>
      </c>
    </row>
    <row r="4" spans="5:10" x14ac:dyDescent="0.25">
      <c r="E4" s="67">
        <v>2014</v>
      </c>
      <c r="F4" s="6">
        <f>+'[1]3 Summary'!$N$12</f>
        <v>26892139</v>
      </c>
      <c r="G4" s="6">
        <f>+'[1]3 Summary'!N13</f>
        <v>24718787</v>
      </c>
      <c r="H4" s="6">
        <f t="shared" ref="H4:H11" si="0">F4-G4</f>
        <v>2173352</v>
      </c>
      <c r="I4" s="8">
        <f t="shared" ref="I4:I11" si="1">H4/F4</f>
        <v>8.0817371946500793E-2</v>
      </c>
      <c r="J4" s="7">
        <f t="shared" ref="J4:J11" si="2">G4/F4</f>
        <v>0.91918262805349915</v>
      </c>
    </row>
    <row r="5" spans="5:10" x14ac:dyDescent="0.25">
      <c r="E5" s="67">
        <v>2015</v>
      </c>
      <c r="F5" s="6">
        <f>+'[1]3 Summary'!$M$12</f>
        <v>29300430</v>
      </c>
      <c r="G5" s="6">
        <f>+'[1]3 Summary'!M13</f>
        <v>27040731</v>
      </c>
      <c r="H5" s="6">
        <f t="shared" si="0"/>
        <v>2259699</v>
      </c>
      <c r="I5" s="8">
        <f t="shared" si="1"/>
        <v>7.7121700944320609E-2</v>
      </c>
      <c r="J5" s="7">
        <f t="shared" si="2"/>
        <v>0.92287829905567942</v>
      </c>
    </row>
    <row r="6" spans="5:10" x14ac:dyDescent="0.25">
      <c r="E6" s="67">
        <v>2016</v>
      </c>
      <c r="F6" s="6">
        <f>+'[1]3 Summary'!$L$12</f>
        <v>31706112</v>
      </c>
      <c r="G6" s="6">
        <f>+'[1]3 Summary'!L13</f>
        <v>29290783</v>
      </c>
      <c r="H6" s="6">
        <f t="shared" si="0"/>
        <v>2415329</v>
      </c>
      <c r="I6" s="8">
        <f t="shared" si="1"/>
        <v>7.6178656026951522E-2</v>
      </c>
      <c r="J6" s="7">
        <f t="shared" si="2"/>
        <v>0.92382134397304849</v>
      </c>
    </row>
    <row r="7" spans="5:10" x14ac:dyDescent="0.25">
      <c r="E7" s="67">
        <v>2017</v>
      </c>
      <c r="F7" s="6">
        <f>+'[1]3 Summary'!$K$12</f>
        <v>34168621</v>
      </c>
      <c r="G7" s="6">
        <f>+'[1]3 Summary'!K13</f>
        <v>31788504</v>
      </c>
      <c r="H7" s="6">
        <f t="shared" si="0"/>
        <v>2380117</v>
      </c>
      <c r="I7" s="8">
        <f t="shared" si="1"/>
        <v>6.9657976539351699E-2</v>
      </c>
      <c r="J7" s="7">
        <f t="shared" si="2"/>
        <v>0.93034202346064832</v>
      </c>
    </row>
    <row r="8" spans="5:10" x14ac:dyDescent="0.25">
      <c r="E8" s="67">
        <v>2018</v>
      </c>
      <c r="F8" s="6">
        <f>+'[1]3 Summary'!$J$12</f>
        <v>36812752</v>
      </c>
      <c r="G8" s="6">
        <f>+'[1]3 Summary'!J13</f>
        <v>34268764</v>
      </c>
      <c r="H8" s="6">
        <f t="shared" si="0"/>
        <v>2543988</v>
      </c>
      <c r="I8" s="8">
        <f t="shared" si="1"/>
        <v>6.9106161908243105E-2</v>
      </c>
      <c r="J8" s="7">
        <f t="shared" si="2"/>
        <v>0.93089383809175685</v>
      </c>
    </row>
    <row r="9" spans="5:10" x14ac:dyDescent="0.25">
      <c r="E9" s="67">
        <v>2019</v>
      </c>
      <c r="F9" s="6">
        <f>+'[1]3 Summary'!$H$12</f>
        <v>39332063</v>
      </c>
      <c r="G9" s="6">
        <f>+'[1]3 Summary'!H13</f>
        <v>36860690</v>
      </c>
      <c r="H9" s="6">
        <f t="shared" si="0"/>
        <v>2471373</v>
      </c>
      <c r="I9" s="8">
        <f t="shared" si="1"/>
        <v>6.2833546259701653E-2</v>
      </c>
      <c r="J9" s="7">
        <f t="shared" si="2"/>
        <v>0.93716645374029839</v>
      </c>
    </row>
    <row r="10" spans="5:10" x14ac:dyDescent="0.25">
      <c r="E10" s="67">
        <v>2020</v>
      </c>
      <c r="F10" s="6">
        <f>+'[1]3 Summary'!$G$12</f>
        <v>41263459</v>
      </c>
      <c r="G10" s="6">
        <f>+'[1]3 Summary'!G13</f>
        <v>39616401</v>
      </c>
      <c r="H10" s="6">
        <f t="shared" si="0"/>
        <v>1647058</v>
      </c>
      <c r="I10" s="8">
        <f t="shared" si="1"/>
        <v>3.9915655156297004E-2</v>
      </c>
      <c r="J10" s="7">
        <f t="shared" si="2"/>
        <v>0.96008434484370297</v>
      </c>
    </row>
    <row r="11" spans="5:10" x14ac:dyDescent="0.25">
      <c r="E11" s="67">
        <v>2021</v>
      </c>
      <c r="F11" s="6">
        <f>+'[1]3 Summary'!$F$12</f>
        <v>44917440</v>
      </c>
      <c r="G11" s="6">
        <f>+'[1]3 Summary'!F13</f>
        <v>42727425</v>
      </c>
      <c r="H11" s="6">
        <f t="shared" si="0"/>
        <v>2190015</v>
      </c>
      <c r="I11" s="8">
        <f t="shared" si="1"/>
        <v>4.8756451836970228E-2</v>
      </c>
      <c r="J11" s="7">
        <f t="shared" si="2"/>
        <v>0.95124354816302981</v>
      </c>
    </row>
    <row r="12" spans="5:10" x14ac:dyDescent="0.25">
      <c r="E12" s="67">
        <v>2022</v>
      </c>
      <c r="F12" s="6">
        <f>+'[1]3 Summary'!$E$12</f>
        <v>48315498</v>
      </c>
      <c r="G12" s="6">
        <f>+'[1]3 Summary'!E13</f>
        <v>45242955</v>
      </c>
      <c r="H12" s="6">
        <f>F12-G12</f>
        <v>3072543</v>
      </c>
      <c r="I12" s="8">
        <f>H12/F12</f>
        <v>6.3593321546639131E-2</v>
      </c>
      <c r="J12" s="7">
        <f>G12/F12</f>
        <v>0.9364066784533609</v>
      </c>
    </row>
    <row r="13" spans="5:10" x14ac:dyDescent="0.25">
      <c r="E13" s="67">
        <v>2023</v>
      </c>
      <c r="F13" s="6">
        <f>+'[1]3 Summary'!D12</f>
        <v>51692580</v>
      </c>
      <c r="G13" s="6">
        <f>+'[1]3 Summary'!D13</f>
        <v>48399378</v>
      </c>
      <c r="H13" s="6">
        <f>F13-G13</f>
        <v>3293202</v>
      </c>
      <c r="I13" s="8">
        <f>H13/F13</f>
        <v>6.3707441184015196E-2</v>
      </c>
      <c r="J13" s="7">
        <f>G13/F13</f>
        <v>0.93629255881598483</v>
      </c>
    </row>
    <row r="14" spans="5:10" hidden="1" x14ac:dyDescent="0.25">
      <c r="E14" s="67">
        <v>2024</v>
      </c>
      <c r="F14" s="6"/>
      <c r="G14" s="6"/>
      <c r="H14" s="6"/>
      <c r="I14" s="8"/>
      <c r="J14" s="7"/>
    </row>
    <row r="15" spans="5:10" x14ac:dyDescent="0.25">
      <c r="E15" s="68"/>
    </row>
    <row r="16" spans="5:10" x14ac:dyDescent="0.25">
      <c r="E16" s="68"/>
    </row>
  </sheetData>
  <pageMargins left="0.25" right="0.25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8"/>
  <sheetViews>
    <sheetView tabSelected="1" workbookViewId="0">
      <selection activeCell="C13" sqref="C13"/>
    </sheetView>
  </sheetViews>
  <sheetFormatPr defaultRowHeight="15" x14ac:dyDescent="0.25"/>
  <cols>
    <col min="1" max="2" width="4.7109375" customWidth="1"/>
    <col min="4" max="4" width="20.140625" customWidth="1"/>
  </cols>
  <sheetData>
    <row r="3" spans="3:4" ht="30" x14ac:dyDescent="0.25">
      <c r="C3" s="31" t="s">
        <v>34</v>
      </c>
      <c r="D3" s="31" t="s">
        <v>31</v>
      </c>
    </row>
    <row r="4" spans="3:4" x14ac:dyDescent="0.25">
      <c r="C4" s="2">
        <v>2019</v>
      </c>
      <c r="D4" s="30">
        <v>24.1</v>
      </c>
    </row>
    <row r="5" spans="3:4" x14ac:dyDescent="0.25">
      <c r="C5" s="2">
        <v>2020</v>
      </c>
      <c r="D5" s="29">
        <v>23.2</v>
      </c>
    </row>
    <row r="6" spans="3:4" x14ac:dyDescent="0.25">
      <c r="C6" s="2">
        <v>2021</v>
      </c>
      <c r="D6" s="30">
        <v>21.6</v>
      </c>
    </row>
    <row r="7" spans="3:4" x14ac:dyDescent="0.25">
      <c r="C7" s="2">
        <v>2022</v>
      </c>
      <c r="D7" s="30">
        <v>20.399999999999999</v>
      </c>
    </row>
    <row r="8" spans="3:4" x14ac:dyDescent="0.25">
      <c r="C8" s="2">
        <v>2023</v>
      </c>
      <c r="D8" s="29">
        <v>19.399999999999999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9"/>
  <sheetViews>
    <sheetView topLeftCell="A2" workbookViewId="0">
      <selection activeCell="B38" sqref="B38"/>
    </sheetView>
  </sheetViews>
  <sheetFormatPr defaultRowHeight="15" x14ac:dyDescent="0.25"/>
  <cols>
    <col min="3" max="3" width="11.140625" bestFit="1" customWidth="1"/>
    <col min="4" max="4" width="12.85546875" customWidth="1"/>
  </cols>
  <sheetData>
    <row r="1" spans="2:4" ht="15.75" thickBot="1" x14ac:dyDescent="0.3"/>
    <row r="2" spans="2:4" ht="15.75" thickBot="1" x14ac:dyDescent="0.3">
      <c r="B2" s="9" t="s">
        <v>34</v>
      </c>
      <c r="C2" s="28" t="s">
        <v>48</v>
      </c>
      <c r="D2" s="28" t="s">
        <v>49</v>
      </c>
    </row>
    <row r="3" spans="2:4" hidden="1" x14ac:dyDescent="0.25">
      <c r="B3" s="10">
        <v>2013</v>
      </c>
      <c r="C3" s="11">
        <f>902467+490473</f>
        <v>1392940</v>
      </c>
      <c r="D3" s="11">
        <v>469531</v>
      </c>
    </row>
    <row r="4" spans="2:4" x14ac:dyDescent="0.25">
      <c r="B4" s="10">
        <v>2014</v>
      </c>
      <c r="C4" s="11">
        <f>920340+516630</f>
        <v>1436970</v>
      </c>
      <c r="D4" s="11">
        <v>734577</v>
      </c>
    </row>
    <row r="5" spans="2:4" x14ac:dyDescent="0.25">
      <c r="B5" s="10">
        <v>2015</v>
      </c>
      <c r="C5" s="11">
        <f>941947+521648</f>
        <v>1463595</v>
      </c>
      <c r="D5" s="11">
        <v>706482</v>
      </c>
    </row>
    <row r="6" spans="2:4" x14ac:dyDescent="0.25">
      <c r="B6" s="10">
        <v>2016</v>
      </c>
      <c r="C6" s="11">
        <f>950341+533900</f>
        <v>1484241</v>
      </c>
      <c r="D6" s="11">
        <v>988515</v>
      </c>
    </row>
    <row r="7" spans="2:4" x14ac:dyDescent="0.25">
      <c r="B7" s="10">
        <v>2017</v>
      </c>
      <c r="C7" s="11">
        <f>1035135+580140</f>
        <v>1615275</v>
      </c>
      <c r="D7" s="11">
        <v>1185642</v>
      </c>
    </row>
    <row r="8" spans="2:4" x14ac:dyDescent="0.25">
      <c r="B8" s="10">
        <v>2018</v>
      </c>
      <c r="C8" s="11">
        <f>1123142+610404</f>
        <v>1733546</v>
      </c>
      <c r="D8" s="11">
        <v>1218939</v>
      </c>
    </row>
    <row r="9" spans="2:4" x14ac:dyDescent="0.25">
      <c r="B9" s="10">
        <v>2019</v>
      </c>
      <c r="C9" s="11">
        <f>1052685+574728</f>
        <v>1627413</v>
      </c>
      <c r="D9" s="11">
        <v>1408294</v>
      </c>
    </row>
    <row r="10" spans="2:4" x14ac:dyDescent="0.25">
      <c r="B10" s="10">
        <v>2020</v>
      </c>
      <c r="C10" s="11">
        <f>1149332+620880</f>
        <v>1770212</v>
      </c>
      <c r="D10" s="11">
        <v>1597246</v>
      </c>
    </row>
    <row r="11" spans="2:4" x14ac:dyDescent="0.25">
      <c r="B11" s="10">
        <v>2021</v>
      </c>
      <c r="C11" s="11">
        <f>1146305+639373</f>
        <v>1785678</v>
      </c>
      <c r="D11" s="11">
        <v>1655159</v>
      </c>
    </row>
    <row r="12" spans="2:4" x14ac:dyDescent="0.25">
      <c r="B12" s="10">
        <v>2022</v>
      </c>
      <c r="C12" s="11">
        <f>1194166+682483</f>
        <v>1876649</v>
      </c>
      <c r="D12" s="11">
        <v>1910870</v>
      </c>
    </row>
    <row r="13" spans="2:4" x14ac:dyDescent="0.25">
      <c r="B13" s="10">
        <v>2023</v>
      </c>
      <c r="C13" s="11">
        <f>1336623+748509</f>
        <v>2085132</v>
      </c>
      <c r="D13" s="11">
        <v>1861776</v>
      </c>
    </row>
    <row r="32" spans="2:2" x14ac:dyDescent="0.25">
      <c r="B32" t="s">
        <v>59</v>
      </c>
    </row>
    <row r="33" spans="2:2" x14ac:dyDescent="0.25">
      <c r="B33" t="s">
        <v>58</v>
      </c>
    </row>
    <row r="37" spans="2:2" x14ac:dyDescent="0.25">
      <c r="B37" t="s">
        <v>69</v>
      </c>
    </row>
    <row r="38" spans="2:2" x14ac:dyDescent="0.25">
      <c r="B38" s="1" t="s">
        <v>70</v>
      </c>
    </row>
    <row r="39" spans="2:2" x14ac:dyDescent="0.25">
      <c r="B39" t="s">
        <v>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Benefit</vt:lpstr>
      <vt:lpstr>Members</vt:lpstr>
      <vt:lpstr>Valuation</vt:lpstr>
      <vt:lpstr>AVA vs AAL</vt:lpstr>
      <vt:lpstr>Contribution Rate</vt:lpstr>
      <vt:lpstr>Funding</vt:lpstr>
      <vt:lpstr>Amortization</vt:lpstr>
      <vt:lpstr>Cash Flows</vt:lpstr>
      <vt:lpstr>Benefit!Print_Area</vt:lpstr>
      <vt:lpstr>Funding!Print_Area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Bouquet</dc:creator>
  <cp:lastModifiedBy>Giovanni Bouquet</cp:lastModifiedBy>
  <cp:lastPrinted>2020-04-22T18:39:15Z</cp:lastPrinted>
  <dcterms:created xsi:type="dcterms:W3CDTF">2020-04-22T17:34:16Z</dcterms:created>
  <dcterms:modified xsi:type="dcterms:W3CDTF">2025-02-18T22:33:07Z</dcterms:modified>
</cp:coreProperties>
</file>